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WHAT-IF AND OPTIMIZATION\"/>
    </mc:Choice>
  </mc:AlternateContent>
  <bookViews>
    <workbookView xWindow="0" yWindow="0" windowWidth="24345" windowHeight="13815" tabRatio="500" firstSheet="2" activeTab="2"/>
  </bookViews>
  <sheets>
    <sheet name="Hoja2" sheetId="2" state="hidden" r:id="rId1"/>
    <sheet name="Caso pesimista" sheetId="3" state="hidden" r:id="rId2"/>
    <sheet name="SCNARIO ANALYSIS" sheetId="5" r:id="rId3"/>
    <sheet name="Scenario Summary" sheetId="10" r:id="rId4"/>
  </sheets>
  <definedNames>
    <definedName name="BI_COSTS_Y1">'SCNARIO ANALYSIS'!$E$8</definedName>
    <definedName name="BI_COSTS_Y2">'SCNARIO ANALYSIS'!$F$8</definedName>
    <definedName name="BI_COSTS_Y3">'SCNARIO ANALYSIS'!$G$8</definedName>
    <definedName name="BI_COSTS_Y4">'SCNARIO ANALYSIS'!$H$8</definedName>
    <definedName name="BI_COSTS_Y5">'SCNARIO ANALYSIS'!$I$8</definedName>
    <definedName name="CAP_COST_Y1">'SCNARIO ANALYSIS'!$E$20</definedName>
    <definedName name="CAP_COST_Y2">'SCNARIO ANALYSIS'!$F$20</definedName>
    <definedName name="CAP_COST_Y3">'SCNARIO ANALYSIS'!$G$20</definedName>
    <definedName name="CAP_COST_Y4">'SCNARIO ANALYSIS'!$H$20</definedName>
    <definedName name="CAP_COST_Y5">'SCNARIO ANALYSIS'!$I$20</definedName>
    <definedName name="EXTRA_SALES_Y1">'SCNARIO ANALYSIS'!$E$5</definedName>
    <definedName name="EXTRA_SALES_Y2">'SCNARIO ANALYSIS'!$F$5</definedName>
    <definedName name="EXTRA_SALES_Y3">'SCNARIO ANALYSIS'!$G$5</definedName>
    <definedName name="EXTRA_SALES_Y4">'SCNARIO ANALYSIS'!$H$5</definedName>
    <definedName name="EXTRA_SALES_Y5">'SCNARIO ANALYSIS'!$I$5</definedName>
    <definedName name="MAIN_SALES_Y1">'SCNARIO ANALYSIS'!$E$4</definedName>
    <definedName name="MAIN_SALES_Y2">'SCNARIO ANALYSIS'!$F$4</definedName>
    <definedName name="MAIN_SALES_Y3">'SCNARIO ANALYSIS'!$G$4</definedName>
    <definedName name="MAIN_SALES_Y4">'SCNARIO ANALYSIS'!$H$4</definedName>
    <definedName name="MAIN_SALES_Y5">'SCNARIO ANALYSIS'!$I$4</definedName>
    <definedName name="NPV_Y1">'SCNARIO ANALYSIS'!$E$22</definedName>
    <definedName name="NPV_Y2">'SCNARIO ANALYSIS'!$F$22</definedName>
    <definedName name="NPV_Y3">'SCNARIO ANALYSIS'!$G$22</definedName>
    <definedName name="NPV_Y4">'SCNARIO ANALYSIS'!$H$22</definedName>
    <definedName name="NPV_Y5">'SCNARIO ANALYSIS'!$I$22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5" l="1"/>
  <c r="E11" i="5"/>
  <c r="E12" i="5"/>
  <c r="E7" i="5"/>
  <c r="E15" i="5"/>
  <c r="E17" i="5"/>
  <c r="E18" i="5"/>
  <c r="E21" i="5"/>
  <c r="E22" i="5"/>
  <c r="F3" i="5"/>
  <c r="F11" i="5"/>
  <c r="F12" i="5"/>
  <c r="F7" i="5"/>
  <c r="F15" i="5"/>
  <c r="F17" i="5"/>
  <c r="F18" i="5"/>
  <c r="F21" i="5"/>
  <c r="F22" i="5"/>
  <c r="G3" i="5"/>
  <c r="G11" i="5"/>
  <c r="G12" i="5"/>
  <c r="G7" i="5"/>
  <c r="G15" i="5"/>
  <c r="G17" i="5"/>
  <c r="G18" i="5"/>
  <c r="G21" i="5"/>
  <c r="G22" i="5"/>
  <c r="H3" i="5"/>
  <c r="H11" i="5"/>
  <c r="H12" i="5"/>
  <c r="H7" i="5"/>
  <c r="H15" i="5"/>
  <c r="H17" i="5"/>
  <c r="H18" i="5"/>
  <c r="H21" i="5"/>
  <c r="H22" i="5"/>
  <c r="I3" i="5"/>
  <c r="I11" i="5"/>
  <c r="I12" i="5"/>
  <c r="I7" i="5"/>
  <c r="I15" i="5"/>
  <c r="I17" i="5"/>
  <c r="I18" i="5"/>
  <c r="I21" i="5"/>
  <c r="I22" i="5"/>
  <c r="C3" i="5"/>
  <c r="C11" i="5"/>
  <c r="D18" i="5"/>
  <c r="E16" i="5"/>
  <c r="F16" i="5"/>
  <c r="G16" i="5"/>
  <c r="H16" i="5"/>
  <c r="I16" i="5"/>
  <c r="C24" i="5"/>
  <c r="D19" i="5"/>
  <c r="D21" i="5"/>
  <c r="D22" i="5"/>
  <c r="E19" i="5"/>
  <c r="F19" i="5"/>
  <c r="G19" i="5"/>
  <c r="H19" i="5"/>
  <c r="I19" i="5"/>
  <c r="C12" i="5"/>
  <c r="C7" i="5"/>
  <c r="C15" i="5"/>
  <c r="C17" i="5"/>
  <c r="C18" i="5"/>
  <c r="C4" i="3"/>
  <c r="C31" i="3"/>
  <c r="H31" i="3"/>
  <c r="H32" i="3"/>
  <c r="G31" i="3"/>
  <c r="G32" i="3"/>
  <c r="F31" i="3"/>
  <c r="F32" i="3"/>
  <c r="E31" i="3"/>
  <c r="E32" i="3"/>
  <c r="D31" i="3"/>
  <c r="D32" i="3"/>
  <c r="C32" i="3"/>
  <c r="D18" i="3"/>
  <c r="D19" i="3"/>
  <c r="D21" i="3"/>
  <c r="D22" i="3"/>
  <c r="E4" i="3"/>
  <c r="C5" i="3"/>
  <c r="E5" i="3"/>
  <c r="E3" i="3"/>
  <c r="E12" i="3"/>
  <c r="E13" i="3"/>
  <c r="E8" i="3"/>
  <c r="E18" i="3"/>
  <c r="E21" i="3"/>
  <c r="E22" i="3"/>
  <c r="F4" i="3"/>
  <c r="F5" i="3"/>
  <c r="F3" i="3"/>
  <c r="F12" i="3"/>
  <c r="F13" i="3"/>
  <c r="F8" i="3"/>
  <c r="F18" i="3"/>
  <c r="F21" i="3"/>
  <c r="F22" i="3"/>
  <c r="G4" i="3"/>
  <c r="G5" i="3"/>
  <c r="G3" i="3"/>
  <c r="G12" i="3"/>
  <c r="G13" i="3"/>
  <c r="G8" i="3"/>
  <c r="G18" i="3"/>
  <c r="G21" i="3"/>
  <c r="G22" i="3"/>
  <c r="H4" i="3"/>
  <c r="H5" i="3"/>
  <c r="H3" i="3"/>
  <c r="H12" i="3"/>
  <c r="H13" i="3"/>
  <c r="H8" i="3"/>
  <c r="H18" i="3"/>
  <c r="H21" i="3"/>
  <c r="H22" i="3"/>
  <c r="I4" i="3"/>
  <c r="I5" i="3"/>
  <c r="I3" i="3"/>
  <c r="I12" i="3"/>
  <c r="I13" i="3"/>
  <c r="I8" i="3"/>
  <c r="I18" i="3"/>
  <c r="I21" i="3"/>
  <c r="I22" i="3"/>
  <c r="E19" i="3"/>
  <c r="F19" i="3"/>
  <c r="G19" i="3"/>
  <c r="H19" i="3"/>
  <c r="I19" i="3"/>
  <c r="C12" i="3"/>
  <c r="C13" i="3"/>
  <c r="C8" i="3"/>
  <c r="C18" i="3"/>
  <c r="C6" i="3"/>
  <c r="D18" i="2"/>
  <c r="D19" i="2"/>
  <c r="D21" i="2"/>
  <c r="D22" i="2"/>
  <c r="C4" i="2"/>
  <c r="E4" i="2"/>
  <c r="C5" i="2"/>
  <c r="E5" i="2"/>
  <c r="E3" i="2"/>
  <c r="E12" i="2"/>
  <c r="E13" i="2"/>
  <c r="E8" i="2"/>
  <c r="E18" i="2"/>
  <c r="E21" i="2"/>
  <c r="E22" i="2"/>
  <c r="F4" i="2"/>
  <c r="F5" i="2"/>
  <c r="F3" i="2"/>
  <c r="F12" i="2"/>
  <c r="F13" i="2"/>
  <c r="F8" i="2"/>
  <c r="F18" i="2"/>
  <c r="F21" i="2"/>
  <c r="F22" i="2"/>
  <c r="G4" i="2"/>
  <c r="G5" i="2"/>
  <c r="G3" i="2"/>
  <c r="G12" i="2"/>
  <c r="G13" i="2"/>
  <c r="G8" i="2"/>
  <c r="G18" i="2"/>
  <c r="G21" i="2"/>
  <c r="G22" i="2"/>
  <c r="H4" i="2"/>
  <c r="H5" i="2"/>
  <c r="H3" i="2"/>
  <c r="H12" i="2"/>
  <c r="H13" i="2"/>
  <c r="H8" i="2"/>
  <c r="H18" i="2"/>
  <c r="H21" i="2"/>
  <c r="H22" i="2"/>
  <c r="I4" i="2"/>
  <c r="I5" i="2"/>
  <c r="I3" i="2"/>
  <c r="I12" i="2"/>
  <c r="I13" i="2"/>
  <c r="I8" i="2"/>
  <c r="I18" i="2"/>
  <c r="I21" i="2"/>
  <c r="I22" i="2"/>
  <c r="C13" i="2"/>
  <c r="E19" i="2"/>
  <c r="F19" i="2"/>
  <c r="G19" i="2"/>
  <c r="H19" i="2"/>
  <c r="I19" i="2"/>
  <c r="C12" i="2"/>
  <c r="C8" i="2"/>
  <c r="C18" i="2"/>
  <c r="C31" i="2"/>
  <c r="G31" i="2"/>
  <c r="F31" i="2"/>
  <c r="E31" i="2"/>
  <c r="D31" i="2"/>
  <c r="H31" i="2"/>
  <c r="E32" i="2"/>
  <c r="F32" i="2"/>
  <c r="G32" i="2"/>
  <c r="H32" i="2"/>
  <c r="D32" i="2"/>
  <c r="C32" i="2"/>
  <c r="C6" i="2"/>
</calcChain>
</file>

<file path=xl/sharedStrings.xml><?xml version="1.0" encoding="utf-8"?>
<sst xmlns="http://schemas.openxmlformats.org/spreadsheetml/2006/main" count="124" uniqueCount="95">
  <si>
    <t>INGRESOS</t>
  </si>
  <si>
    <t>Ingresos venta servicios extra</t>
  </si>
  <si>
    <t>Otros ingresos</t>
  </si>
  <si>
    <t>Costes de marketing</t>
  </si>
  <si>
    <t>Costes de distribución</t>
  </si>
  <si>
    <t>AÑO 1</t>
  </si>
  <si>
    <t>AÑO 2</t>
  </si>
  <si>
    <t>AÑO 3</t>
  </si>
  <si>
    <t>AÑO 4</t>
  </si>
  <si>
    <t>AÑO 5</t>
  </si>
  <si>
    <t>INVERSIÓN PROYECTO BI</t>
  </si>
  <si>
    <t>FCF</t>
  </si>
  <si>
    <t>Costes gestión CRM</t>
  </si>
  <si>
    <t>AÑO-1</t>
  </si>
  <si>
    <t>COSTES</t>
  </si>
  <si>
    <t>Ingresos ventas principales</t>
  </si>
  <si>
    <t>3 personas mando medio los primeros tres meses y dos los siguientes años</t>
  </si>
  <si>
    <t>libera media persona el primer año (que se dedicará a bi) y una persona entera los siguientes años por automatización procesos (mando junior-medio)</t>
  </si>
  <si>
    <t>Otros gastos (fijo y otros)</t>
  </si>
  <si>
    <t>FCF acumulado</t>
  </si>
  <si>
    <t>Incremento costes variables</t>
  </si>
  <si>
    <t>Costes variables (excl. Distrib)</t>
  </si>
  <si>
    <t>Actualmente produce el 40% de las ventas principales por canales online intermediados. De estos se captará un 5% en el canal directo pasando de una comisión del 20% a un coste del 10%, captando un 1% incremental cada año. Por otra parte el coste aumenta por efecto del incremento de las ventas directas</t>
  </si>
  <si>
    <t>menores costes de captación, incentivos más específicos que se optimiza año tras año</t>
  </si>
  <si>
    <t>Coste Capital</t>
  </si>
  <si>
    <t>NCF anual</t>
  </si>
  <si>
    <t>VNA</t>
  </si>
  <si>
    <t>Costes desarrollo y gestión BI</t>
  </si>
  <si>
    <t>EBIT</t>
  </si>
  <si>
    <t>REVENUES</t>
  </si>
  <si>
    <t>Main sales</t>
  </si>
  <si>
    <t>Extra services</t>
  </si>
  <si>
    <t>Other revenues</t>
  </si>
  <si>
    <t>COSTS</t>
  </si>
  <si>
    <t>BI development and management</t>
  </si>
  <si>
    <t>CRM management</t>
  </si>
  <si>
    <t>Marketing</t>
  </si>
  <si>
    <t>Distribution</t>
  </si>
  <si>
    <t>Variable costs (excl. distribution and marketing)</t>
  </si>
  <si>
    <t>Investment BI project</t>
  </si>
  <si>
    <t>Other costs</t>
  </si>
  <si>
    <t>Interests</t>
  </si>
  <si>
    <t>Taxes</t>
  </si>
  <si>
    <t>PROFITS</t>
  </si>
  <si>
    <t>Cumulative Free Cash Flow</t>
  </si>
  <si>
    <t>Capital Cost</t>
  </si>
  <si>
    <t>Yearly Net Cahs Flows</t>
  </si>
  <si>
    <t>NPV</t>
  </si>
  <si>
    <t>Internal Rate of Return</t>
  </si>
  <si>
    <t>Net Present Value</t>
  </si>
  <si>
    <t>IRR:</t>
  </si>
  <si>
    <t>YEAR 1</t>
  </si>
  <si>
    <t>YEAR 2</t>
  </si>
  <si>
    <t>YEAR 3</t>
  </si>
  <si>
    <t>YEAR 4</t>
  </si>
  <si>
    <t>YEAR 5</t>
  </si>
  <si>
    <t>YEAR 0</t>
  </si>
  <si>
    <t>INVESTMENT</t>
  </si>
  <si>
    <t>MOST LIKELY</t>
  </si>
  <si>
    <t>Creado por Alberto Scappini el 25/07/2016
Modificado por Alberto Scappini el 25/07/2016</t>
  </si>
  <si>
    <t>Creado por Alberto Scappini el 25/07/2016</t>
  </si>
  <si>
    <t>MAIN_SALES_Y1</t>
  </si>
  <si>
    <t>MAIN_SALES_Y2</t>
  </si>
  <si>
    <t>MAIN_SALES_Y3</t>
  </si>
  <si>
    <t>MAIN_SALES_Y4</t>
  </si>
  <si>
    <t>MAIN_SALES_Y5</t>
  </si>
  <si>
    <t>EXTRA_SALES_Y1</t>
  </si>
  <si>
    <t>EXTRA_SALES_Y2</t>
  </si>
  <si>
    <t>EXTRA_SALES_Y3</t>
  </si>
  <si>
    <t>EXTRA_SALES_Y4</t>
  </si>
  <si>
    <t>EXTRA_SALES_Y5</t>
  </si>
  <si>
    <t>BI_COSTS_Y1</t>
  </si>
  <si>
    <t>BI_COSTS_Y2</t>
  </si>
  <si>
    <t>BI_COSTS_Y3</t>
  </si>
  <si>
    <t>BI_COSTS_Y4</t>
  </si>
  <si>
    <t>BI_COSTS_Y5</t>
  </si>
  <si>
    <t>CAP_COST_Y1</t>
  </si>
  <si>
    <t>CAP_COST_Y2</t>
  </si>
  <si>
    <t>CAP_COST_Y3</t>
  </si>
  <si>
    <t>CAP_COST_Y4</t>
  </si>
  <si>
    <t>CAP_COST_Y5</t>
  </si>
  <si>
    <t>NPV_Y1</t>
  </si>
  <si>
    <t>NPV_Y2</t>
  </si>
  <si>
    <t>NPV_Y3</t>
  </si>
  <si>
    <t>NPV_Y4</t>
  </si>
  <si>
    <t>NPV_Y5</t>
  </si>
  <si>
    <t>Scenario Summary</t>
  </si>
  <si>
    <t>Current Values:</t>
  </si>
  <si>
    <t>Changing Cells:</t>
  </si>
  <si>
    <t>Result Cells:</t>
  </si>
  <si>
    <t>Notes: Current Values column represents values of changing cells at</t>
  </si>
  <si>
    <t>time Scenario Summary Report was created. Changing cells for each</t>
  </si>
  <si>
    <t>scenario are highlighted in gray.</t>
  </si>
  <si>
    <t>WORST-CASE SCENARIO</t>
  </si>
  <si>
    <t>BEST-CASE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</si>
</sst>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164" formatCode="_-* #,##0.00\ [$€-C0A]_-;\-* #,##0.00\ [$€-C0A]_-;_-* &quot;-&quot;??\ [$€-C0A]_-;_-@_-"/>
    <numFmt numFmtId="165" formatCode="_-* #,##0\ [$€-C0A]_-;\-* #,##0\ [$€-C0A]_-;_-* &quot;-&quot;??\ [$€-C0A]_-;_-@_-"/>
    <numFmt numFmtId="169" formatCode="_-[$€-2]\ * #,##0_-;\-[$€-2]\ * #,##0_-;_-[$€-2]\ * &quot;-&quot;??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165" fontId="5" fillId="0" borderId="0" xfId="0" applyNumberFormat="1" applyFont="1"/>
    <xf numFmtId="9" fontId="0" fillId="0" borderId="0" xfId="0" applyNumberFormat="1"/>
    <xf numFmtId="8" fontId="0" fillId="0" borderId="0" xfId="0" applyNumberFormat="1"/>
    <xf numFmtId="10" fontId="0" fillId="0" borderId="0" xfId="129" applyNumberFormat="1" applyFont="1"/>
    <xf numFmtId="0" fontId="7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165" fontId="5" fillId="0" borderId="1" xfId="0" applyNumberFormat="1" applyFont="1" applyBorder="1"/>
    <xf numFmtId="165" fontId="0" fillId="0" borderId="1" xfId="0" applyNumberFormat="1" applyBorder="1"/>
    <xf numFmtId="165" fontId="6" fillId="0" borderId="1" xfId="0" applyNumberFormat="1" applyFont="1" applyBorder="1"/>
    <xf numFmtId="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3" borderId="1" xfId="0" applyFill="1" applyBorder="1"/>
    <xf numFmtId="9" fontId="0" fillId="3" borderId="1" xfId="0" applyNumberFormat="1" applyFill="1" applyBorder="1"/>
    <xf numFmtId="165" fontId="0" fillId="3" borderId="1" xfId="0" applyNumberFormat="1" applyFill="1" applyBorder="1"/>
    <xf numFmtId="0" fontId="5" fillId="2" borderId="1" xfId="0" applyFont="1" applyFill="1" applyBorder="1"/>
    <xf numFmtId="165" fontId="5" fillId="2" borderId="1" xfId="0" applyNumberFormat="1" applyFont="1" applyFill="1" applyBorder="1"/>
    <xf numFmtId="0" fontId="0" fillId="0" borderId="0" xfId="0" applyFill="1" applyBorder="1" applyAlignment="1"/>
    <xf numFmtId="0" fontId="8" fillId="4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0" fillId="0" borderId="5" xfId="0" applyFill="1" applyBorder="1" applyAlignment="1"/>
    <xf numFmtId="0" fontId="9" fillId="5" borderId="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top" wrapText="1"/>
    </xf>
    <xf numFmtId="169" fontId="0" fillId="0" borderId="0" xfId="0" applyNumberFormat="1" applyFill="1" applyBorder="1" applyAlignment="1"/>
    <xf numFmtId="169" fontId="0" fillId="6" borderId="0" xfId="0" applyNumberFormat="1" applyFill="1" applyBorder="1" applyAlignment="1"/>
    <xf numFmtId="169" fontId="0" fillId="0" borderId="5" xfId="0" applyNumberFormat="1" applyFill="1" applyBorder="1" applyAlignment="1"/>
    <xf numFmtId="169" fontId="0" fillId="0" borderId="3" xfId="0" applyNumberFormat="1" applyFill="1" applyBorder="1" applyAlignment="1"/>
  </cellXfs>
  <cellStyles count="18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Normal" xfId="0" builtinId="0"/>
    <cellStyle name="Porcentaje" xfId="129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133349</xdr:rowOff>
    </xdr:from>
    <xdr:to>
      <xdr:col>11</xdr:col>
      <xdr:colOff>714375</xdr:colOff>
      <xdr:row>18</xdr:row>
      <xdr:rowOff>85724</xdr:rowOff>
    </xdr:to>
    <xdr:sp macro="" textlink="">
      <xdr:nvSpPr>
        <xdr:cNvPr id="2" name="Rectángulo redondeado 1"/>
        <xdr:cNvSpPr/>
      </xdr:nvSpPr>
      <xdr:spPr>
        <a:xfrm>
          <a:off x="10410825" y="133349"/>
          <a:ext cx="2314575" cy="355282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Change</a:t>
          </a:r>
          <a:r>
            <a:rPr lang="es-ES" sz="1100" baseline="0"/>
            <a:t> cells in green in the table</a:t>
          </a:r>
        </a:p>
        <a:p>
          <a:pPr algn="l"/>
          <a:r>
            <a:rPr lang="es-ES" sz="1100" baseline="0"/>
            <a:t>- Go to Data - What-If Analysis - Scenario Manager</a:t>
          </a:r>
        </a:p>
        <a:p>
          <a:pPr algn="l"/>
          <a:r>
            <a:rPr lang="es-ES" sz="1100" baseline="0"/>
            <a:t>- Add a new scenario, choos a name and changing cells (by default green cells are already selected</a:t>
          </a:r>
        </a:p>
        <a:p>
          <a:pPr algn="l"/>
          <a:r>
            <a:rPr lang="es-ES" sz="1100" baseline="0"/>
            <a:t>- Save the scenario</a:t>
          </a:r>
        </a:p>
        <a:p>
          <a:pPr algn="l"/>
          <a:r>
            <a:rPr lang="es-ES" sz="1100" baseline="0"/>
            <a:t>- Click Summary and choose the type of report "summary"</a:t>
          </a:r>
        </a:p>
        <a:p>
          <a:pPr algn="l"/>
          <a:r>
            <a:rPr lang="es-ES" sz="1100" baseline="0"/>
            <a:t>- you will have the summary in a new sheet (since I have assigned names to the cells, you will see names instead of cells references in the Scenario Summary)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workbookViewId="0">
      <selection activeCell="E9" sqref="E9"/>
    </sheetView>
  </sheetViews>
  <sheetFormatPr baseColWidth="10" defaultRowHeight="15.75" x14ac:dyDescent="0.25"/>
  <cols>
    <col min="2" max="2" width="26.375" customWidth="1"/>
    <col min="3" max="3" width="15.5" bestFit="1" customWidth="1"/>
    <col min="4" max="4" width="14" bestFit="1" customWidth="1"/>
    <col min="5" max="7" width="12" bestFit="1" customWidth="1"/>
    <col min="8" max="8" width="11.625" customWidth="1"/>
    <col min="9" max="9" width="12" bestFit="1" customWidth="1"/>
    <col min="10" max="10" width="58.625" customWidth="1"/>
  </cols>
  <sheetData>
    <row r="2" spans="2:10" x14ac:dyDescent="0.25">
      <c r="C2" s="3" t="s">
        <v>13</v>
      </c>
      <c r="D2" s="3">
        <v>0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2:10" x14ac:dyDescent="0.25">
      <c r="B3" s="4" t="s">
        <v>0</v>
      </c>
      <c r="C3" s="2">
        <v>40000000</v>
      </c>
      <c r="D3" s="5"/>
      <c r="E3" s="5">
        <f>SUM(E4:E6)</f>
        <v>180000</v>
      </c>
      <c r="F3" s="5">
        <f t="shared" ref="F3:I3" si="0">SUM(F4:F6)</f>
        <v>360000</v>
      </c>
      <c r="G3" s="5">
        <f t="shared" si="0"/>
        <v>540000</v>
      </c>
      <c r="H3" s="5">
        <f t="shared" si="0"/>
        <v>720000</v>
      </c>
      <c r="I3" s="5">
        <f t="shared" si="0"/>
        <v>900000</v>
      </c>
    </row>
    <row r="4" spans="2:10" x14ac:dyDescent="0.25">
      <c r="B4" t="s">
        <v>15</v>
      </c>
      <c r="C4" s="2">
        <f>C3*0.7</f>
        <v>28000000</v>
      </c>
      <c r="D4" s="2"/>
      <c r="E4" s="2">
        <f>$C4*0.005</f>
        <v>140000</v>
      </c>
      <c r="F4" s="2">
        <f>$C4*0.01</f>
        <v>280000</v>
      </c>
      <c r="G4" s="2">
        <f>$C4*0.015</f>
        <v>420000</v>
      </c>
      <c r="H4" s="2">
        <f>$C4*0.02</f>
        <v>560000</v>
      </c>
      <c r="I4" s="2">
        <f>$C4*0.025</f>
        <v>700000</v>
      </c>
    </row>
    <row r="5" spans="2:10" x14ac:dyDescent="0.25">
      <c r="B5" t="s">
        <v>1</v>
      </c>
      <c r="C5" s="2">
        <f>C3*0.1</f>
        <v>4000000</v>
      </c>
      <c r="D5" s="2"/>
      <c r="E5" s="2">
        <f>$C5*0.01</f>
        <v>40000</v>
      </c>
      <c r="F5" s="2">
        <f>$C5*0.02</f>
        <v>80000</v>
      </c>
      <c r="G5" s="2">
        <f>$C5*0.03</f>
        <v>120000</v>
      </c>
      <c r="H5" s="2">
        <f>$C5*0.04</f>
        <v>160000</v>
      </c>
      <c r="I5" s="2">
        <f>$C5*0.05</f>
        <v>200000</v>
      </c>
    </row>
    <row r="6" spans="2:10" x14ac:dyDescent="0.25">
      <c r="B6" t="s">
        <v>2</v>
      </c>
      <c r="C6" s="2">
        <f>C3*0.2</f>
        <v>8000000</v>
      </c>
      <c r="D6" s="2"/>
      <c r="E6" s="2">
        <v>0</v>
      </c>
      <c r="F6" s="2">
        <v>0</v>
      </c>
      <c r="G6" s="2">
        <v>0</v>
      </c>
      <c r="H6" s="2">
        <v>0</v>
      </c>
      <c r="I6" s="2">
        <v>0</v>
      </c>
    </row>
    <row r="7" spans="2:10" x14ac:dyDescent="0.25">
      <c r="C7" s="2"/>
      <c r="D7" s="2"/>
      <c r="E7" s="2"/>
      <c r="F7" s="2"/>
      <c r="G7" s="2"/>
      <c r="H7" s="2"/>
      <c r="I7" s="2"/>
    </row>
    <row r="8" spans="2:10" x14ac:dyDescent="0.25">
      <c r="B8" s="4" t="s">
        <v>14</v>
      </c>
      <c r="C8" s="2">
        <f>SUM(C9:C14)</f>
        <v>35460000</v>
      </c>
      <c r="D8" s="5"/>
      <c r="E8" s="5">
        <f>SUM(E9:E13)</f>
        <v>237800</v>
      </c>
      <c r="F8" s="5">
        <f t="shared" ref="F8:I8" si="1">SUM(F9:F13)</f>
        <v>340800</v>
      </c>
      <c r="G8" s="5">
        <f t="shared" si="1"/>
        <v>477800</v>
      </c>
      <c r="H8" s="5">
        <f t="shared" si="1"/>
        <v>614800</v>
      </c>
      <c r="I8" s="5">
        <f t="shared" si="1"/>
        <v>756800</v>
      </c>
    </row>
    <row r="9" spans="2:10" x14ac:dyDescent="0.25">
      <c r="B9" t="s">
        <v>27</v>
      </c>
      <c r="C9" s="2">
        <v>0</v>
      </c>
      <c r="D9" s="2"/>
      <c r="E9" s="2">
        <v>135000</v>
      </c>
      <c r="F9" s="2">
        <v>124000</v>
      </c>
      <c r="G9" s="2">
        <v>124000</v>
      </c>
      <c r="H9" s="2">
        <v>124000</v>
      </c>
      <c r="I9" s="2">
        <v>124000</v>
      </c>
      <c r="J9" t="s">
        <v>16</v>
      </c>
    </row>
    <row r="10" spans="2:10" x14ac:dyDescent="0.25">
      <c r="B10" t="s">
        <v>12</v>
      </c>
      <c r="C10" s="2">
        <v>180000</v>
      </c>
      <c r="D10" s="2"/>
      <c r="E10" s="2">
        <v>-18000</v>
      </c>
      <c r="F10" s="2">
        <v>-36000</v>
      </c>
      <c r="G10" s="2">
        <v>-36000</v>
      </c>
      <c r="H10" s="2">
        <v>-36000</v>
      </c>
      <c r="I10" s="2">
        <v>-36000</v>
      </c>
      <c r="J10" t="s">
        <v>17</v>
      </c>
    </row>
    <row r="11" spans="2:10" x14ac:dyDescent="0.25">
      <c r="B11" t="s">
        <v>3</v>
      </c>
      <c r="C11" s="2">
        <v>400000</v>
      </c>
      <c r="D11" s="2"/>
      <c r="E11" s="2">
        <v>-10000</v>
      </c>
      <c r="F11" s="2">
        <v>-20000</v>
      </c>
      <c r="G11" s="2">
        <v>-25000</v>
      </c>
      <c r="H11" s="2">
        <v>-30000</v>
      </c>
      <c r="I11" s="2">
        <v>-30000</v>
      </c>
      <c r="J11" t="s">
        <v>23</v>
      </c>
    </row>
    <row r="12" spans="2:10" x14ac:dyDescent="0.25">
      <c r="B12" t="s">
        <v>4</v>
      </c>
      <c r="C12" s="2">
        <f>(C4*0.4*0.2)+(C4*0.2*0.05)+(C4*0.4*0.3)</f>
        <v>5880000</v>
      </c>
      <c r="D12" s="2"/>
      <c r="E12" s="2">
        <f>-11200+(E4*0.05)</f>
        <v>-4200</v>
      </c>
      <c r="F12" s="2">
        <f t="shared" ref="F12:I12" si="2">-11200+(F4*0.05)</f>
        <v>2800</v>
      </c>
      <c r="G12" s="2">
        <f t="shared" si="2"/>
        <v>9800</v>
      </c>
      <c r="H12" s="2">
        <f t="shared" si="2"/>
        <v>16800</v>
      </c>
      <c r="I12" s="2">
        <f t="shared" si="2"/>
        <v>23800</v>
      </c>
      <c r="J12" t="s">
        <v>22</v>
      </c>
    </row>
    <row r="13" spans="2:10" x14ac:dyDescent="0.25">
      <c r="B13" t="s">
        <v>21</v>
      </c>
      <c r="C13" s="2">
        <f>(C4+C5)*0.75</f>
        <v>24000000</v>
      </c>
      <c r="D13" s="2"/>
      <c r="E13" s="2">
        <f>(E4+E5)*0.75</f>
        <v>135000</v>
      </c>
      <c r="F13" s="2">
        <f>(F4+F5)*0.75</f>
        <v>270000</v>
      </c>
      <c r="G13" s="2">
        <f>(G4+G5)*0.75</f>
        <v>405000</v>
      </c>
      <c r="H13" s="2">
        <f>(H4+H5)*0.75</f>
        <v>540000</v>
      </c>
      <c r="I13" s="2">
        <f>(I4+I5)*0.75</f>
        <v>675000</v>
      </c>
      <c r="J13" t="s">
        <v>20</v>
      </c>
    </row>
    <row r="14" spans="2:10" x14ac:dyDescent="0.25">
      <c r="B14" t="s">
        <v>18</v>
      </c>
      <c r="C14" s="2">
        <v>5000000</v>
      </c>
      <c r="D14" s="2"/>
      <c r="E14" s="2">
        <v>0</v>
      </c>
      <c r="F14" s="2">
        <v>0</v>
      </c>
      <c r="G14" s="2">
        <v>0</v>
      </c>
      <c r="H14" s="2">
        <v>0</v>
      </c>
      <c r="I14" s="2">
        <v>0</v>
      </c>
    </row>
    <row r="15" spans="2:10" x14ac:dyDescent="0.25">
      <c r="C15" s="2"/>
      <c r="D15" s="2"/>
      <c r="E15" s="2"/>
      <c r="F15" s="2"/>
      <c r="G15" s="2"/>
      <c r="H15" s="2"/>
      <c r="I15" s="2"/>
    </row>
    <row r="16" spans="2:10" x14ac:dyDescent="0.25">
      <c r="B16" t="s">
        <v>10</v>
      </c>
      <c r="C16" s="2"/>
      <c r="D16" s="2">
        <v>160000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</row>
    <row r="17" spans="2:9" x14ac:dyDescent="0.25">
      <c r="C17" s="2"/>
    </row>
    <row r="18" spans="2:9" x14ac:dyDescent="0.25">
      <c r="B18" t="s">
        <v>11</v>
      </c>
      <c r="C18" s="2">
        <f>C3-C8-C16</f>
        <v>4540000</v>
      </c>
      <c r="D18" s="2">
        <f>D3-D8-D16</f>
        <v>-160000</v>
      </c>
      <c r="E18" s="2">
        <f t="shared" ref="E18:I18" si="3">E3-E8-E16</f>
        <v>-57800</v>
      </c>
      <c r="F18" s="2">
        <f t="shared" si="3"/>
        <v>19200</v>
      </c>
      <c r="G18" s="2">
        <f t="shared" si="3"/>
        <v>62200</v>
      </c>
      <c r="H18" s="2">
        <f t="shared" si="3"/>
        <v>105200</v>
      </c>
      <c r="I18" s="2">
        <f t="shared" si="3"/>
        <v>143200</v>
      </c>
    </row>
    <row r="19" spans="2:9" x14ac:dyDescent="0.25">
      <c r="B19" t="s">
        <v>19</v>
      </c>
      <c r="D19" s="2">
        <f>D18</f>
        <v>-160000</v>
      </c>
      <c r="E19" s="2">
        <f>D19+E18</f>
        <v>-217800</v>
      </c>
      <c r="F19" s="2">
        <f t="shared" ref="F19:I19" si="4">E19+F18</f>
        <v>-198600</v>
      </c>
      <c r="G19" s="2">
        <f t="shared" si="4"/>
        <v>-136400</v>
      </c>
      <c r="H19" s="2">
        <f t="shared" si="4"/>
        <v>-31200</v>
      </c>
      <c r="I19" s="2">
        <f t="shared" si="4"/>
        <v>112000</v>
      </c>
    </row>
    <row r="20" spans="2:9" x14ac:dyDescent="0.25">
      <c r="B20" t="s">
        <v>24</v>
      </c>
      <c r="E20" s="6">
        <v>0.09</v>
      </c>
      <c r="F20" s="6">
        <v>0.09</v>
      </c>
      <c r="G20" s="6">
        <v>0.09</v>
      </c>
      <c r="H20" s="6">
        <v>0.09</v>
      </c>
      <c r="I20" s="6">
        <v>0.09</v>
      </c>
    </row>
    <row r="21" spans="2:9" x14ac:dyDescent="0.25">
      <c r="B21" t="s">
        <v>25</v>
      </c>
      <c r="D21" s="2">
        <f>D19</f>
        <v>-160000</v>
      </c>
      <c r="E21" s="1">
        <f>E18/(1+E20)</f>
        <v>-53027.522935779816</v>
      </c>
      <c r="F21" s="1">
        <f>F18/(1+F20)^2</f>
        <v>16160.255870717951</v>
      </c>
      <c r="G21" s="1">
        <f>G18/(1+G20)^3</f>
        <v>48029.812459798188</v>
      </c>
      <c r="H21" s="1">
        <f>H18/(1+H20)^4</f>
        <v>74526.332204058665</v>
      </c>
      <c r="I21" s="1">
        <f>I18/(1+I20)^5</f>
        <v>93070.174517923049</v>
      </c>
    </row>
    <row r="22" spans="2:9" x14ac:dyDescent="0.25">
      <c r="B22" t="s">
        <v>26</v>
      </c>
      <c r="D22" s="2">
        <f>D21</f>
        <v>-160000</v>
      </c>
      <c r="E22" s="2">
        <f>D22+E21</f>
        <v>-213027.52293577982</v>
      </c>
      <c r="F22" s="2">
        <f t="shared" ref="F22" si="5">E22+F21</f>
        <v>-196867.26706506187</v>
      </c>
      <c r="G22" s="2">
        <f t="shared" ref="G22" si="6">F22+G21</f>
        <v>-148837.45460526369</v>
      </c>
      <c r="H22" s="2">
        <f t="shared" ref="H22" si="7">G22+H21</f>
        <v>-74311.122401205022</v>
      </c>
      <c r="I22" s="5">
        <f t="shared" ref="I22" si="8">H22+I21</f>
        <v>18759.052116718027</v>
      </c>
    </row>
    <row r="24" spans="2:9" x14ac:dyDescent="0.25">
      <c r="I24" s="7"/>
    </row>
    <row r="31" spans="2:9" x14ac:dyDescent="0.25">
      <c r="C31" s="2">
        <f>C4*0.4</f>
        <v>11200000</v>
      </c>
      <c r="D31" s="2">
        <f>$C$31*0.01</f>
        <v>112000</v>
      </c>
      <c r="E31" s="2">
        <f>$C$31*0.02</f>
        <v>224000</v>
      </c>
      <c r="F31" s="2">
        <f>$C$31*0.03</f>
        <v>336000</v>
      </c>
      <c r="G31" s="2">
        <f>$C$31*0.04</f>
        <v>448000</v>
      </c>
      <c r="H31" s="2">
        <f>$C$31*0.05</f>
        <v>560000</v>
      </c>
    </row>
    <row r="32" spans="2:9" x14ac:dyDescent="0.25">
      <c r="C32" s="2">
        <f>C31*0.2</f>
        <v>2240000</v>
      </c>
      <c r="D32" s="2">
        <f>D31*0.1</f>
        <v>11200</v>
      </c>
      <c r="E32" s="2">
        <f t="shared" ref="E32:H32" si="9">E31*0.1</f>
        <v>22400</v>
      </c>
      <c r="F32" s="2">
        <f t="shared" si="9"/>
        <v>33600</v>
      </c>
      <c r="G32" s="2">
        <f t="shared" si="9"/>
        <v>44800</v>
      </c>
      <c r="H32" s="2">
        <f t="shared" si="9"/>
        <v>56000</v>
      </c>
    </row>
  </sheetData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workbookViewId="0">
      <selection activeCell="E11" sqref="E11"/>
    </sheetView>
  </sheetViews>
  <sheetFormatPr baseColWidth="10" defaultRowHeight="15.75" x14ac:dyDescent="0.25"/>
  <cols>
    <col min="2" max="2" width="26.375" customWidth="1"/>
    <col min="3" max="3" width="15.5" bestFit="1" customWidth="1"/>
    <col min="4" max="4" width="14" bestFit="1" customWidth="1"/>
    <col min="5" max="7" width="12" bestFit="1" customWidth="1"/>
    <col min="8" max="8" width="11.625" customWidth="1"/>
    <col min="9" max="9" width="12" bestFit="1" customWidth="1"/>
    <col min="10" max="10" width="58.625" customWidth="1"/>
  </cols>
  <sheetData>
    <row r="2" spans="2:10" x14ac:dyDescent="0.25">
      <c r="C2" s="3" t="s">
        <v>13</v>
      </c>
      <c r="D2" s="3">
        <v>0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2:10" x14ac:dyDescent="0.25">
      <c r="B3" s="4" t="s">
        <v>0</v>
      </c>
      <c r="C3" s="2">
        <v>40000000</v>
      </c>
      <c r="D3" s="5"/>
      <c r="E3" s="5">
        <f>SUM(E4:E6)</f>
        <v>180000</v>
      </c>
      <c r="F3" s="5">
        <f t="shared" ref="F3:I3" si="0">SUM(F4:F6)</f>
        <v>360000</v>
      </c>
      <c r="G3" s="5">
        <f t="shared" si="0"/>
        <v>540000</v>
      </c>
      <c r="H3" s="5">
        <f t="shared" si="0"/>
        <v>720000</v>
      </c>
      <c r="I3" s="5">
        <f t="shared" si="0"/>
        <v>900000</v>
      </c>
    </row>
    <row r="4" spans="2:10" x14ac:dyDescent="0.25">
      <c r="B4" t="s">
        <v>15</v>
      </c>
      <c r="C4" s="2">
        <f>C3*0.7</f>
        <v>28000000</v>
      </c>
      <c r="D4" s="2"/>
      <c r="E4" s="2">
        <f>$C4*0.005</f>
        <v>140000</v>
      </c>
      <c r="F4" s="2">
        <f>$C4*0.01</f>
        <v>280000</v>
      </c>
      <c r="G4" s="2">
        <f>$C4*0.015</f>
        <v>420000</v>
      </c>
      <c r="H4" s="2">
        <f>$C4*0.02</f>
        <v>560000</v>
      </c>
      <c r="I4" s="2">
        <f>$C4*0.025</f>
        <v>700000</v>
      </c>
    </row>
    <row r="5" spans="2:10" x14ac:dyDescent="0.25">
      <c r="B5" t="s">
        <v>1</v>
      </c>
      <c r="C5" s="2">
        <f>C3*0.1</f>
        <v>4000000</v>
      </c>
      <c r="D5" s="2"/>
      <c r="E5" s="2">
        <f>$C5*0.01</f>
        <v>40000</v>
      </c>
      <c r="F5" s="2">
        <f>$C5*0.02</f>
        <v>80000</v>
      </c>
      <c r="G5" s="2">
        <f>$C5*0.03</f>
        <v>120000</v>
      </c>
      <c r="H5" s="2">
        <f>$C5*0.04</f>
        <v>160000</v>
      </c>
      <c r="I5" s="2">
        <f>$C5*0.05</f>
        <v>200000</v>
      </c>
    </row>
    <row r="6" spans="2:10" x14ac:dyDescent="0.25">
      <c r="B6" t="s">
        <v>2</v>
      </c>
      <c r="C6" s="2">
        <f>C3*0.2</f>
        <v>8000000</v>
      </c>
      <c r="D6" s="2"/>
      <c r="E6" s="2">
        <v>0</v>
      </c>
      <c r="F6" s="2">
        <v>0</v>
      </c>
      <c r="G6" s="2">
        <v>0</v>
      </c>
      <c r="H6" s="2">
        <v>0</v>
      </c>
      <c r="I6" s="2">
        <v>0</v>
      </c>
    </row>
    <row r="7" spans="2:10" x14ac:dyDescent="0.25">
      <c r="C7" s="2"/>
      <c r="D7" s="2"/>
      <c r="E7" s="2"/>
      <c r="F7" s="2"/>
      <c r="G7" s="2"/>
      <c r="H7" s="2"/>
      <c r="I7" s="2"/>
    </row>
    <row r="8" spans="2:10" x14ac:dyDescent="0.25">
      <c r="B8" s="4" t="s">
        <v>14</v>
      </c>
      <c r="C8" s="2">
        <f>SUM(C9:C14)</f>
        <v>35460000</v>
      </c>
      <c r="D8" s="5"/>
      <c r="E8" s="5">
        <f>SUM(E9:E13)</f>
        <v>237800</v>
      </c>
      <c r="F8" s="5">
        <f t="shared" ref="F8:I8" si="1">SUM(F9:F13)</f>
        <v>340800</v>
      </c>
      <c r="G8" s="5">
        <f t="shared" si="1"/>
        <v>477800</v>
      </c>
      <c r="H8" s="5">
        <f t="shared" si="1"/>
        <v>614800</v>
      </c>
      <c r="I8" s="5">
        <f t="shared" si="1"/>
        <v>756800</v>
      </c>
    </row>
    <row r="9" spans="2:10" x14ac:dyDescent="0.25">
      <c r="B9" t="s">
        <v>27</v>
      </c>
      <c r="C9" s="2">
        <v>0</v>
      </c>
      <c r="D9" s="2"/>
      <c r="E9" s="2">
        <v>135000</v>
      </c>
      <c r="F9" s="2">
        <v>124000</v>
      </c>
      <c r="G9" s="2">
        <v>124000</v>
      </c>
      <c r="H9" s="2">
        <v>124000</v>
      </c>
      <c r="I9" s="2">
        <v>124000</v>
      </c>
      <c r="J9" t="s">
        <v>16</v>
      </c>
    </row>
    <row r="10" spans="2:10" x14ac:dyDescent="0.25">
      <c r="B10" t="s">
        <v>12</v>
      </c>
      <c r="C10" s="2">
        <v>180000</v>
      </c>
      <c r="D10" s="2"/>
      <c r="E10" s="2">
        <v>-18000</v>
      </c>
      <c r="F10" s="2">
        <v>-36000</v>
      </c>
      <c r="G10" s="2">
        <v>-36000</v>
      </c>
      <c r="H10" s="2">
        <v>-36000</v>
      </c>
      <c r="I10" s="2">
        <v>-36000</v>
      </c>
      <c r="J10" t="s">
        <v>17</v>
      </c>
    </row>
    <row r="11" spans="2:10" x14ac:dyDescent="0.25">
      <c r="B11" t="s">
        <v>3</v>
      </c>
      <c r="C11" s="2">
        <v>400000</v>
      </c>
      <c r="D11" s="2"/>
      <c r="E11" s="2">
        <v>-10000</v>
      </c>
      <c r="F11" s="2">
        <v>-20000</v>
      </c>
      <c r="G11" s="2">
        <v>-25000</v>
      </c>
      <c r="H11" s="2">
        <v>-30000</v>
      </c>
      <c r="I11" s="2">
        <v>-30000</v>
      </c>
      <c r="J11" t="s">
        <v>23</v>
      </c>
    </row>
    <row r="12" spans="2:10" x14ac:dyDescent="0.25">
      <c r="B12" t="s">
        <v>4</v>
      </c>
      <c r="C12" s="2">
        <f>(C4*0.4*0.2)+(C4*0.2*0.05)+(C4*0.4*0.3)</f>
        <v>5880000</v>
      </c>
      <c r="D12" s="2"/>
      <c r="E12" s="2">
        <f>-11200+(E4*0.05)</f>
        <v>-4200</v>
      </c>
      <c r="F12" s="2">
        <f t="shared" ref="F12:I12" si="2">-11200+(F4*0.05)</f>
        <v>2800</v>
      </c>
      <c r="G12" s="2">
        <f t="shared" si="2"/>
        <v>9800</v>
      </c>
      <c r="H12" s="2">
        <f t="shared" si="2"/>
        <v>16800</v>
      </c>
      <c r="I12" s="2">
        <f t="shared" si="2"/>
        <v>23800</v>
      </c>
      <c r="J12" t="s">
        <v>22</v>
      </c>
    </row>
    <row r="13" spans="2:10" x14ac:dyDescent="0.25">
      <c r="B13" t="s">
        <v>21</v>
      </c>
      <c r="C13" s="2">
        <f>(C4+C5)*0.75</f>
        <v>24000000</v>
      </c>
      <c r="D13" s="2"/>
      <c r="E13" s="2">
        <f>(E4+E5)*0.75</f>
        <v>135000</v>
      </c>
      <c r="F13" s="2">
        <f>(F4+F5)*0.75</f>
        <v>270000</v>
      </c>
      <c r="G13" s="2">
        <f>(G4+G5)*0.75</f>
        <v>405000</v>
      </c>
      <c r="H13" s="2">
        <f>(H4+H5)*0.75</f>
        <v>540000</v>
      </c>
      <c r="I13" s="2">
        <f>(I4+I5)*0.75</f>
        <v>675000</v>
      </c>
      <c r="J13" t="s">
        <v>20</v>
      </c>
    </row>
    <row r="14" spans="2:10" x14ac:dyDescent="0.25">
      <c r="B14" t="s">
        <v>18</v>
      </c>
      <c r="C14" s="2">
        <v>5000000</v>
      </c>
      <c r="D14" s="2"/>
      <c r="E14" s="2">
        <v>0</v>
      </c>
      <c r="F14" s="2">
        <v>0</v>
      </c>
      <c r="G14" s="2">
        <v>0</v>
      </c>
      <c r="H14" s="2">
        <v>0</v>
      </c>
      <c r="I14" s="2">
        <v>0</v>
      </c>
    </row>
    <row r="15" spans="2:10" x14ac:dyDescent="0.25">
      <c r="C15" s="2"/>
      <c r="D15" s="2"/>
      <c r="E15" s="2"/>
      <c r="F15" s="2"/>
      <c r="G15" s="2"/>
      <c r="H15" s="2"/>
      <c r="I15" s="2"/>
    </row>
    <row r="16" spans="2:10" x14ac:dyDescent="0.25">
      <c r="B16" t="s">
        <v>10</v>
      </c>
      <c r="C16" s="2"/>
      <c r="D16" s="2">
        <v>160000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</row>
    <row r="17" spans="2:9" x14ac:dyDescent="0.25">
      <c r="C17" s="2"/>
    </row>
    <row r="18" spans="2:9" x14ac:dyDescent="0.25">
      <c r="B18" t="s">
        <v>11</v>
      </c>
      <c r="C18" s="2">
        <f>C3-C8-C16</f>
        <v>4540000</v>
      </c>
      <c r="D18" s="2">
        <f>D3-D8-D16</f>
        <v>-160000</v>
      </c>
      <c r="E18" s="2">
        <f t="shared" ref="E18:I18" si="3">E3-E8-E16</f>
        <v>-57800</v>
      </c>
      <c r="F18" s="2">
        <f t="shared" si="3"/>
        <v>19200</v>
      </c>
      <c r="G18" s="2">
        <f t="shared" si="3"/>
        <v>62200</v>
      </c>
      <c r="H18" s="2">
        <f t="shared" si="3"/>
        <v>105200</v>
      </c>
      <c r="I18" s="2">
        <f t="shared" si="3"/>
        <v>143200</v>
      </c>
    </row>
    <row r="19" spans="2:9" x14ac:dyDescent="0.25">
      <c r="B19" t="s">
        <v>19</v>
      </c>
      <c r="D19" s="2">
        <f>D18</f>
        <v>-160000</v>
      </c>
      <c r="E19" s="2">
        <f>D19+E18</f>
        <v>-217800</v>
      </c>
      <c r="F19" s="2">
        <f t="shared" ref="F19:I19" si="4">E19+F18</f>
        <v>-198600</v>
      </c>
      <c r="G19" s="2">
        <f t="shared" si="4"/>
        <v>-136400</v>
      </c>
      <c r="H19" s="2">
        <f t="shared" si="4"/>
        <v>-31200</v>
      </c>
      <c r="I19" s="2">
        <f t="shared" si="4"/>
        <v>112000</v>
      </c>
    </row>
    <row r="20" spans="2:9" x14ac:dyDescent="0.25">
      <c r="B20" t="s">
        <v>24</v>
      </c>
      <c r="E20" s="6">
        <v>0.09</v>
      </c>
      <c r="F20" s="6">
        <v>0.09</v>
      </c>
      <c r="G20" s="6">
        <v>0.09</v>
      </c>
      <c r="H20" s="6">
        <v>0.09</v>
      </c>
      <c r="I20" s="6">
        <v>0.09</v>
      </c>
    </row>
    <row r="21" spans="2:9" x14ac:dyDescent="0.25">
      <c r="B21" t="s">
        <v>25</v>
      </c>
      <c r="D21" s="2">
        <f>D19</f>
        <v>-160000</v>
      </c>
      <c r="E21" s="1">
        <f>E18/(1+E20)</f>
        <v>-53027.522935779816</v>
      </c>
      <c r="F21" s="1">
        <f>F18/(1+F20)^2</f>
        <v>16160.255870717951</v>
      </c>
      <c r="G21" s="1">
        <f>G18/(1+G20)^3</f>
        <v>48029.812459798188</v>
      </c>
      <c r="H21" s="1">
        <f>H18/(1+H20)^4</f>
        <v>74526.332204058665</v>
      </c>
      <c r="I21" s="1">
        <f>I18/(1+I20)^5</f>
        <v>93070.174517923049</v>
      </c>
    </row>
    <row r="22" spans="2:9" x14ac:dyDescent="0.25">
      <c r="B22" t="s">
        <v>26</v>
      </c>
      <c r="D22" s="2">
        <f>D21</f>
        <v>-160000</v>
      </c>
      <c r="E22" s="2">
        <f>D22+E21</f>
        <v>-213027.52293577982</v>
      </c>
      <c r="F22" s="2">
        <f t="shared" ref="F22:I22" si="5">E22+F21</f>
        <v>-196867.26706506187</v>
      </c>
      <c r="G22" s="2">
        <f t="shared" si="5"/>
        <v>-148837.45460526369</v>
      </c>
      <c r="H22" s="2">
        <f t="shared" si="5"/>
        <v>-74311.122401205022</v>
      </c>
      <c r="I22" s="5">
        <f t="shared" si="5"/>
        <v>18759.052116718027</v>
      </c>
    </row>
    <row r="24" spans="2:9" x14ac:dyDescent="0.25">
      <c r="I24" s="7"/>
    </row>
    <row r="31" spans="2:9" x14ac:dyDescent="0.25">
      <c r="C31" s="2">
        <f>C4*0.4</f>
        <v>11200000</v>
      </c>
      <c r="D31" s="2">
        <f>$C$31*0.01</f>
        <v>112000</v>
      </c>
      <c r="E31" s="2">
        <f>$C$31*0.02</f>
        <v>224000</v>
      </c>
      <c r="F31" s="2">
        <f>$C$31*0.03</f>
        <v>336000</v>
      </c>
      <c r="G31" s="2">
        <f>$C$31*0.04</f>
        <v>448000</v>
      </c>
      <c r="H31" s="2">
        <f>$C$31*0.05</f>
        <v>560000</v>
      </c>
    </row>
    <row r="32" spans="2:9" x14ac:dyDescent="0.25">
      <c r="C32" s="2">
        <f>C31*0.2</f>
        <v>2240000</v>
      </c>
      <c r="D32" s="2">
        <f>D31*0.1</f>
        <v>11200</v>
      </c>
      <c r="E32" s="2">
        <f t="shared" ref="E32:H32" si="6">E31*0.1</f>
        <v>22400</v>
      </c>
      <c r="F32" s="2">
        <f t="shared" si="6"/>
        <v>33600</v>
      </c>
      <c r="G32" s="2">
        <f t="shared" si="6"/>
        <v>44800</v>
      </c>
      <c r="H32" s="2">
        <f t="shared" si="6"/>
        <v>56000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showGridLines="0" tabSelected="1" workbookViewId="0">
      <selection activeCell="B8" sqref="B8"/>
    </sheetView>
  </sheetViews>
  <sheetFormatPr baseColWidth="10" defaultRowHeight="15.75" x14ac:dyDescent="0.25"/>
  <cols>
    <col min="1" max="1" width="3.875" customWidth="1"/>
    <col min="2" max="2" width="40.375" bestFit="1" customWidth="1"/>
    <col min="3" max="3" width="15.5" bestFit="1" customWidth="1"/>
    <col min="4" max="4" width="14" bestFit="1" customWidth="1"/>
    <col min="5" max="7" width="12" bestFit="1" customWidth="1"/>
    <col min="8" max="8" width="12.375" customWidth="1"/>
    <col min="9" max="9" width="12.875" customWidth="1"/>
    <col min="10" max="10" width="11.625" customWidth="1"/>
    <col min="15" max="15" width="13.5" customWidth="1"/>
  </cols>
  <sheetData>
    <row r="2" spans="2:15" x14ac:dyDescent="0.25">
      <c r="B2" s="10"/>
      <c r="C2" s="11" t="s">
        <v>56</v>
      </c>
      <c r="D2" s="11" t="s">
        <v>57</v>
      </c>
      <c r="E2" s="11" t="s">
        <v>51</v>
      </c>
      <c r="F2" s="11" t="s">
        <v>52</v>
      </c>
      <c r="G2" s="11" t="s">
        <v>53</v>
      </c>
      <c r="H2" s="11" t="s">
        <v>54</v>
      </c>
      <c r="I2" s="11" t="s">
        <v>55</v>
      </c>
    </row>
    <row r="3" spans="2:15" x14ac:dyDescent="0.25">
      <c r="B3" s="12" t="s">
        <v>29</v>
      </c>
      <c r="C3" s="13">
        <f>SUM(C4:C6)</f>
        <v>40000000</v>
      </c>
      <c r="D3" s="13"/>
      <c r="E3" s="13">
        <f>SUM(E4:E6)</f>
        <v>320000</v>
      </c>
      <c r="F3" s="13">
        <f t="shared" ref="F3:I3" si="0">SUM(F4:F6)</f>
        <v>470000</v>
      </c>
      <c r="G3" s="13">
        <f t="shared" si="0"/>
        <v>620000</v>
      </c>
      <c r="H3" s="13">
        <f t="shared" si="0"/>
        <v>770000</v>
      </c>
      <c r="I3" s="13">
        <f t="shared" si="0"/>
        <v>920000</v>
      </c>
    </row>
    <row r="4" spans="2:15" x14ac:dyDescent="0.25">
      <c r="B4" s="19" t="s">
        <v>30</v>
      </c>
      <c r="C4" s="21">
        <v>28000000</v>
      </c>
      <c r="D4" s="21"/>
      <c r="E4" s="21">
        <v>280000</v>
      </c>
      <c r="F4" s="21">
        <v>420000</v>
      </c>
      <c r="G4" s="21">
        <v>560000</v>
      </c>
      <c r="H4" s="21">
        <v>700000</v>
      </c>
      <c r="I4" s="21">
        <v>840000</v>
      </c>
      <c r="K4" s="2"/>
      <c r="L4" s="2"/>
      <c r="M4" s="2"/>
      <c r="N4" s="2"/>
      <c r="O4" s="2"/>
    </row>
    <row r="5" spans="2:15" x14ac:dyDescent="0.25">
      <c r="B5" s="19" t="s">
        <v>31</v>
      </c>
      <c r="C5" s="21">
        <v>4000000</v>
      </c>
      <c r="D5" s="21"/>
      <c r="E5" s="21">
        <v>40000</v>
      </c>
      <c r="F5" s="21">
        <v>50000</v>
      </c>
      <c r="G5" s="21">
        <v>60000</v>
      </c>
      <c r="H5" s="21">
        <v>70000</v>
      </c>
      <c r="I5" s="21">
        <v>80000</v>
      </c>
      <c r="K5" s="2"/>
      <c r="L5" s="2"/>
      <c r="M5" s="2"/>
      <c r="N5" s="2"/>
      <c r="O5" s="2"/>
    </row>
    <row r="6" spans="2:15" x14ac:dyDescent="0.25">
      <c r="B6" s="10" t="s">
        <v>32</v>
      </c>
      <c r="C6" s="14">
        <v>8000000</v>
      </c>
      <c r="D6" s="14"/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spans="2:15" x14ac:dyDescent="0.25">
      <c r="B7" s="12" t="s">
        <v>33</v>
      </c>
      <c r="C7" s="13">
        <f>SUM(C8:C14)</f>
        <v>36060000</v>
      </c>
      <c r="D7" s="13"/>
      <c r="E7" s="13">
        <f>SUM(E8:E14)</f>
        <v>251800</v>
      </c>
      <c r="F7" s="13">
        <f t="shared" ref="F7:I7" si="1">SUM(F8:F14)</f>
        <v>247800</v>
      </c>
      <c r="G7" s="13">
        <f t="shared" si="1"/>
        <v>297800</v>
      </c>
      <c r="H7" s="13">
        <f t="shared" si="1"/>
        <v>350300</v>
      </c>
      <c r="I7" s="13">
        <f t="shared" si="1"/>
        <v>402800</v>
      </c>
    </row>
    <row r="8" spans="2:15" x14ac:dyDescent="0.25">
      <c r="B8" s="19" t="s">
        <v>34</v>
      </c>
      <c r="C8" s="21">
        <v>0</v>
      </c>
      <c r="D8" s="21"/>
      <c r="E8" s="21">
        <v>174000</v>
      </c>
      <c r="F8" s="21">
        <v>138000</v>
      </c>
      <c r="G8" s="21">
        <v>138000</v>
      </c>
      <c r="H8" s="21">
        <v>138000</v>
      </c>
      <c r="I8" s="21">
        <v>138000</v>
      </c>
      <c r="K8" s="2"/>
      <c r="L8" s="2"/>
      <c r="M8" s="2"/>
      <c r="N8" s="2"/>
      <c r="O8" s="2"/>
    </row>
    <row r="9" spans="2:15" x14ac:dyDescent="0.25">
      <c r="B9" s="10" t="s">
        <v>35</v>
      </c>
      <c r="C9" s="14">
        <v>180000</v>
      </c>
      <c r="D9" s="14"/>
      <c r="E9" s="14">
        <v>-18000</v>
      </c>
      <c r="F9" s="14">
        <v>-36000</v>
      </c>
      <c r="G9" s="14">
        <v>-36000</v>
      </c>
      <c r="H9" s="14">
        <v>-36000</v>
      </c>
      <c r="I9" s="14">
        <v>-36000</v>
      </c>
    </row>
    <row r="10" spans="2:15" x14ac:dyDescent="0.25">
      <c r="B10" s="10" t="s">
        <v>36</v>
      </c>
      <c r="C10" s="14">
        <v>400000</v>
      </c>
      <c r="D10" s="14"/>
      <c r="E10" s="14">
        <v>-5000</v>
      </c>
      <c r="F10" s="14">
        <v>-7500</v>
      </c>
      <c r="G10" s="14">
        <v>-10000</v>
      </c>
      <c r="H10" s="14">
        <v>-10000</v>
      </c>
      <c r="I10" s="14">
        <v>-10000</v>
      </c>
    </row>
    <row r="11" spans="2:15" x14ac:dyDescent="0.25">
      <c r="B11" s="10" t="s">
        <v>37</v>
      </c>
      <c r="C11" s="14">
        <f>(C4*0.4*0.2)+(C4*0.2*0.05)+(C4*0.4*0.3)</f>
        <v>5880000</v>
      </c>
      <c r="D11" s="14"/>
      <c r="E11" s="14">
        <f>-11200+(E3*0.05)</f>
        <v>4800</v>
      </c>
      <c r="F11" s="14">
        <f t="shared" ref="F11:I11" si="2">-11200+(F3*0.05)</f>
        <v>12300</v>
      </c>
      <c r="G11" s="14">
        <f t="shared" si="2"/>
        <v>19800</v>
      </c>
      <c r="H11" s="14">
        <f t="shared" si="2"/>
        <v>27300</v>
      </c>
      <c r="I11" s="14">
        <f t="shared" si="2"/>
        <v>34800</v>
      </c>
    </row>
    <row r="12" spans="2:15" x14ac:dyDescent="0.25">
      <c r="B12" s="10" t="s">
        <v>38</v>
      </c>
      <c r="C12" s="14">
        <f>(C4+C5)*0.3</f>
        <v>9600000</v>
      </c>
      <c r="D12" s="14"/>
      <c r="E12" s="14">
        <f>(E4+E5)*0.3</f>
        <v>96000</v>
      </c>
      <c r="F12" s="14">
        <f>(F4+F5)*0.3</f>
        <v>141000</v>
      </c>
      <c r="G12" s="14">
        <f>(G4+G5)*0.3</f>
        <v>186000</v>
      </c>
      <c r="H12" s="14">
        <f>(H4+H5)*0.3</f>
        <v>231000</v>
      </c>
      <c r="I12" s="14">
        <f>(I4+I5)*0.3</f>
        <v>276000</v>
      </c>
    </row>
    <row r="13" spans="2:15" x14ac:dyDescent="0.25">
      <c r="B13" s="10" t="s">
        <v>39</v>
      </c>
      <c r="C13" s="14"/>
      <c r="D13" s="15">
        <v>200000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2:15" x14ac:dyDescent="0.25">
      <c r="B14" s="10" t="s">
        <v>40</v>
      </c>
      <c r="C14" s="14">
        <v>20000000</v>
      </c>
      <c r="D14" s="14"/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2:15" x14ac:dyDescent="0.25">
      <c r="B15" s="12" t="s">
        <v>28</v>
      </c>
      <c r="C15" s="13">
        <f>C3-C7</f>
        <v>3940000</v>
      </c>
      <c r="D15" s="13"/>
      <c r="E15" s="13">
        <f>E3-E7</f>
        <v>68200</v>
      </c>
      <c r="F15" s="13">
        <f>F3-F7</f>
        <v>222200</v>
      </c>
      <c r="G15" s="13">
        <f>G3-G7</f>
        <v>322200</v>
      </c>
      <c r="H15" s="13">
        <f>H3-H7</f>
        <v>419700</v>
      </c>
      <c r="I15" s="13">
        <f>I3-I7</f>
        <v>517200</v>
      </c>
    </row>
    <row r="16" spans="2:15" x14ac:dyDescent="0.25">
      <c r="B16" s="10" t="s">
        <v>41</v>
      </c>
      <c r="C16" s="14">
        <v>0</v>
      </c>
      <c r="D16" s="14"/>
      <c r="E16" s="14">
        <f>$D13*0.06</f>
        <v>12000</v>
      </c>
      <c r="F16" s="14">
        <f t="shared" ref="F16:I16" si="3">$D13*0.06</f>
        <v>12000</v>
      </c>
      <c r="G16" s="14">
        <f t="shared" si="3"/>
        <v>12000</v>
      </c>
      <c r="H16" s="14">
        <f t="shared" si="3"/>
        <v>12000</v>
      </c>
      <c r="I16" s="14">
        <f t="shared" si="3"/>
        <v>12000</v>
      </c>
    </row>
    <row r="17" spans="2:9" x14ac:dyDescent="0.25">
      <c r="B17" s="10" t="s">
        <v>42</v>
      </c>
      <c r="C17" s="14">
        <f>C15*0.3</f>
        <v>1182000</v>
      </c>
      <c r="D17" s="14"/>
      <c r="E17" s="14">
        <f>E15*0.3</f>
        <v>20460</v>
      </c>
      <c r="F17" s="14">
        <f>F15*0.3</f>
        <v>66660</v>
      </c>
      <c r="G17" s="14">
        <f>G15*0.3</f>
        <v>96660</v>
      </c>
      <c r="H17" s="14">
        <f>H15*0.3</f>
        <v>125910</v>
      </c>
      <c r="I17" s="14">
        <f>I15*0.3</f>
        <v>155160</v>
      </c>
    </row>
    <row r="18" spans="2:9" x14ac:dyDescent="0.25">
      <c r="B18" s="12" t="s">
        <v>43</v>
      </c>
      <c r="C18" s="13">
        <f>C15-C16-C17</f>
        <v>2758000</v>
      </c>
      <c r="D18" s="13">
        <f>D3-D7-D13</f>
        <v>-200000</v>
      </c>
      <c r="E18" s="13">
        <f>E15-E16-E17</f>
        <v>35740</v>
      </c>
      <c r="F18" s="13">
        <f>F15-F16-F17</f>
        <v>143540</v>
      </c>
      <c r="G18" s="13">
        <f>G15-G16-G17</f>
        <v>213540</v>
      </c>
      <c r="H18" s="13">
        <f>H15-H16-H17</f>
        <v>281790</v>
      </c>
      <c r="I18" s="13">
        <f>I15-I16-I17</f>
        <v>350040</v>
      </c>
    </row>
    <row r="19" spans="2:9" x14ac:dyDescent="0.25">
      <c r="B19" s="10" t="s">
        <v>44</v>
      </c>
      <c r="C19" s="10"/>
      <c r="D19" s="14">
        <f>D18</f>
        <v>-200000</v>
      </c>
      <c r="E19" s="14">
        <f>D19+E18</f>
        <v>-164260</v>
      </c>
      <c r="F19" s="14">
        <f>E19+F18</f>
        <v>-20720</v>
      </c>
      <c r="G19" s="14">
        <f>F19+G18</f>
        <v>192820</v>
      </c>
      <c r="H19" s="14">
        <f>G19+H18</f>
        <v>474610</v>
      </c>
      <c r="I19" s="14">
        <f>H19+I18</f>
        <v>824650</v>
      </c>
    </row>
    <row r="20" spans="2:9" x14ac:dyDescent="0.25">
      <c r="B20" s="19" t="s">
        <v>45</v>
      </c>
      <c r="C20" s="19"/>
      <c r="D20" s="19"/>
      <c r="E20" s="20">
        <v>0.1</v>
      </c>
      <c r="F20" s="20">
        <v>0.1</v>
      </c>
      <c r="G20" s="20">
        <v>0.1</v>
      </c>
      <c r="H20" s="20">
        <v>0.1</v>
      </c>
      <c r="I20" s="20">
        <v>0.1</v>
      </c>
    </row>
    <row r="21" spans="2:9" x14ac:dyDescent="0.25">
      <c r="B21" s="10" t="s">
        <v>46</v>
      </c>
      <c r="C21" s="10"/>
      <c r="D21" s="14">
        <f>D19</f>
        <v>-200000</v>
      </c>
      <c r="E21" s="14">
        <f>E18/(1+E20)</f>
        <v>32490.909090909088</v>
      </c>
      <c r="F21" s="14">
        <f>F18/(1+F20)^2</f>
        <v>118628.0991735537</v>
      </c>
      <c r="G21" s="14">
        <f>G18/(1+G20)^3</f>
        <v>160435.76258452286</v>
      </c>
      <c r="H21" s="14">
        <f>H18/(1+H20)^4</f>
        <v>192466.36158732322</v>
      </c>
      <c r="I21" s="14">
        <f>I18/(1+I20)^5</f>
        <v>217347.29992362659</v>
      </c>
    </row>
    <row r="22" spans="2:9" x14ac:dyDescent="0.25">
      <c r="B22" s="22" t="s">
        <v>47</v>
      </c>
      <c r="C22" s="22"/>
      <c r="D22" s="23">
        <f>D21</f>
        <v>-200000</v>
      </c>
      <c r="E22" s="23">
        <f>D22+E21</f>
        <v>-167509.09090909091</v>
      </c>
      <c r="F22" s="23">
        <f t="shared" ref="F22:I22" si="4">E22+F21</f>
        <v>-48880.991735537216</v>
      </c>
      <c r="G22" s="23">
        <f t="shared" si="4"/>
        <v>111554.77084898564</v>
      </c>
      <c r="H22" s="23">
        <f t="shared" si="4"/>
        <v>304021.13243630889</v>
      </c>
      <c r="I22" s="23">
        <f t="shared" si="4"/>
        <v>521368.43235993548</v>
      </c>
    </row>
    <row r="23" spans="2:9" x14ac:dyDescent="0.25">
      <c r="B23" s="9" t="s">
        <v>49</v>
      </c>
    </row>
    <row r="24" spans="2:9" x14ac:dyDescent="0.25">
      <c r="B24" s="17" t="s">
        <v>50</v>
      </c>
      <c r="C24" s="16">
        <f>IRR(D18:I18,0)</f>
        <v>0.61803822867185065</v>
      </c>
      <c r="I24" s="7"/>
    </row>
    <row r="25" spans="2:9" x14ac:dyDescent="0.25">
      <c r="B25" s="18" t="s">
        <v>48</v>
      </c>
    </row>
    <row r="31" spans="2:9" x14ac:dyDescent="0.25">
      <c r="C31" s="2"/>
      <c r="D31" s="2"/>
      <c r="E31" s="2"/>
      <c r="F31" s="2"/>
      <c r="G31" s="2"/>
      <c r="H31" s="2"/>
    </row>
    <row r="32" spans="2:9" x14ac:dyDescent="0.25">
      <c r="C32" s="2"/>
      <c r="D32" s="2"/>
      <c r="E32" s="2"/>
      <c r="F32" s="2"/>
      <c r="G32" s="2"/>
      <c r="H32" s="2"/>
    </row>
    <row r="34" spans="4:6" x14ac:dyDescent="0.25">
      <c r="D34" s="8"/>
    </row>
    <row r="46" spans="4:6" x14ac:dyDescent="0.25">
      <c r="F46" s="8"/>
    </row>
  </sheetData>
  <scenarios current="2" show="0" sqref="E22:I22">
    <scenario name="MOST LIKELY" locked="1" count="20" user="Alberto Scappini" comment="Creado por Alberto Scappini el 25/07/2016_x000a_Modificado por Alberto Scappini el 25/07/2016">
      <inputCells r="E4" val="280000" numFmtId="165"/>
      <inputCells r="F4" val="420000" numFmtId="165"/>
      <inputCells r="G4" val="560000" numFmtId="165"/>
      <inputCells r="H4" val="700000" numFmtId="165"/>
      <inputCells r="I4" val="840000" numFmtId="165"/>
      <inputCells r="E5" val="40000" numFmtId="165"/>
      <inputCells r="F5" val="50000" numFmtId="165"/>
      <inputCells r="G5" val="60000" numFmtId="165"/>
      <inputCells r="H5" val="70000" numFmtId="165"/>
      <inputCells r="I5" val="80000" numFmtId="165"/>
      <inputCells r="E8" val="174000" numFmtId="165"/>
      <inputCells r="F8" val="138000" numFmtId="165"/>
      <inputCells r="G8" val="138000" numFmtId="165"/>
      <inputCells r="H8" val="138000" numFmtId="165"/>
      <inputCells r="I8" val="138000" numFmtId="165"/>
      <inputCells r="E20" val="0,1" numFmtId="9"/>
      <inputCells r="F20" val="0,1" numFmtId="9"/>
      <inputCells r="G20" val="0,1" numFmtId="9"/>
      <inputCells r="H20" val="0,1" numFmtId="9"/>
      <inputCells r="I20" val="0,1" numFmtId="9"/>
    </scenario>
    <scenario name="WORST CASE SCENARIO" locked="1" count="20" user="Alberto Scappini" comment="Creado por Alberto Scappini el 25/07/2016">
      <inputCells r="E4" val="140000" numFmtId="165"/>
      <inputCells r="F4" val="210000" numFmtId="165"/>
      <inputCells r="G4" val="280000" numFmtId="165"/>
      <inputCells r="H4" val="350000" numFmtId="165"/>
      <inputCells r="I4" val="420000" numFmtId="165"/>
      <inputCells r="E5" val="20000" numFmtId="165"/>
      <inputCells r="F5" val="25000" numFmtId="165"/>
      <inputCells r="G5" val="30000" numFmtId="165"/>
      <inputCells r="H5" val="35000" numFmtId="165"/>
      <inputCells r="I5" val="40000" numFmtId="165"/>
      <inputCells r="E8" val="208800" numFmtId="165"/>
      <inputCells r="F8" val="165600" numFmtId="165"/>
      <inputCells r="G8" val="165600" numFmtId="165"/>
      <inputCells r="H8" val="165600" numFmtId="165"/>
      <inputCells r="I8" val="165600" numFmtId="165"/>
      <inputCells r="E20" val="0,11" numFmtId="9"/>
      <inputCells r="F20" val="0,11" numFmtId="9"/>
      <inputCells r="G20" val="0,11" numFmtId="9"/>
      <inputCells r="H20" val="0,11" numFmtId="9"/>
      <inputCells r="I20" val="0,11" numFmtId="9"/>
    </scenario>
    <scenario name="BEST CASE SCENARIO" locked="1" count="20" user="Alberto Scappini" comment="Creado por Alberto Scappini el 25/07/2016">
      <inputCells r="E4" val="392000" numFmtId="165"/>
      <inputCells r="F4" val="588000" numFmtId="165"/>
      <inputCells r="G4" val="784000" numFmtId="165"/>
      <inputCells r="H4" val="980000" numFmtId="165"/>
      <inputCells r="I4" val="1176000" numFmtId="165"/>
      <inputCells r="E5" val="56000" numFmtId="165"/>
      <inputCells r="F5" val="70000" numFmtId="165"/>
      <inputCells r="G5" val="84000" numFmtId="165"/>
      <inputCells r="H5" val="98000" numFmtId="165"/>
      <inputCells r="I5" val="112000" numFmtId="165"/>
      <inputCells r="E8" val="165300" numFmtId="165"/>
      <inputCells r="F8" val="131100" numFmtId="165"/>
      <inputCells r="G8" val="131100" numFmtId="165"/>
      <inputCells r="H8" val="131100" numFmtId="165"/>
      <inputCells r="I8" val="131100" numFmtId="165"/>
      <inputCells r="E20" val="0,09" numFmtId="9"/>
      <inputCells r="F20" val="0,09" numFmtId="9"/>
      <inputCells r="G20" val="0,09" numFmtId="9"/>
      <inputCells r="H20" val="0,09" numFmtId="9"/>
      <inputCells r="I20" val="0,09" numFmtId="9"/>
    </scenario>
  </scenario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G34"/>
  <sheetViews>
    <sheetView showGridLines="0" topLeftCell="A26" workbookViewId="0">
      <selection activeCell="E36" sqref="E36"/>
    </sheetView>
  </sheetViews>
  <sheetFormatPr baseColWidth="10" defaultRowHeight="15.75" outlineLevelRow="1" outlineLevelCol="1" x14ac:dyDescent="0.25"/>
  <cols>
    <col min="3" max="3" width="15.5" bestFit="1" customWidth="1"/>
    <col min="4" max="7" width="19.125" bestFit="1" customWidth="1" outlineLevel="1"/>
    <col min="14" max="14" width="11" customWidth="1"/>
  </cols>
  <sheetData>
    <row r="1" spans="2:7" ht="16.5" thickBot="1" x14ac:dyDescent="0.3"/>
    <row r="2" spans="2:7" ht="18.75" x14ac:dyDescent="0.3">
      <c r="B2" s="26" t="s">
        <v>86</v>
      </c>
      <c r="C2" s="26"/>
      <c r="D2" s="31"/>
      <c r="E2" s="31"/>
      <c r="F2" s="31"/>
      <c r="G2" s="31"/>
    </row>
    <row r="3" spans="2:7" ht="18.75" collapsed="1" x14ac:dyDescent="0.3">
      <c r="B3" s="25"/>
      <c r="C3" s="25"/>
      <c r="D3" s="32" t="s">
        <v>87</v>
      </c>
      <c r="E3" s="32" t="s">
        <v>58</v>
      </c>
      <c r="F3" s="32" t="s">
        <v>93</v>
      </c>
      <c r="G3" s="32" t="s">
        <v>94</v>
      </c>
    </row>
    <row r="4" spans="2:7" ht="45" hidden="1" outlineLevel="1" x14ac:dyDescent="0.25">
      <c r="B4" s="28"/>
      <c r="C4" s="28"/>
      <c r="D4" s="24"/>
      <c r="E4" s="33" t="s">
        <v>59</v>
      </c>
      <c r="F4" s="33" t="s">
        <v>60</v>
      </c>
      <c r="G4" s="33" t="s">
        <v>60</v>
      </c>
    </row>
    <row r="5" spans="2:7" x14ac:dyDescent="0.25">
      <c r="B5" s="29" t="s">
        <v>88</v>
      </c>
      <c r="C5" s="29"/>
      <c r="D5" s="27"/>
      <c r="E5" s="27"/>
      <c r="F5" s="27"/>
      <c r="G5" s="27"/>
    </row>
    <row r="6" spans="2:7" outlineLevel="1" x14ac:dyDescent="0.25">
      <c r="B6" s="28"/>
      <c r="C6" s="28" t="s">
        <v>61</v>
      </c>
      <c r="D6" s="34">
        <v>280000</v>
      </c>
      <c r="E6" s="35">
        <v>280000</v>
      </c>
      <c r="F6" s="35">
        <v>140000</v>
      </c>
      <c r="G6" s="35">
        <v>392000</v>
      </c>
    </row>
    <row r="7" spans="2:7" outlineLevel="1" x14ac:dyDescent="0.25">
      <c r="B7" s="28"/>
      <c r="C7" s="28" t="s">
        <v>62</v>
      </c>
      <c r="D7" s="34">
        <v>420000</v>
      </c>
      <c r="E7" s="35">
        <v>420000</v>
      </c>
      <c r="F7" s="35">
        <v>210000</v>
      </c>
      <c r="G7" s="35">
        <v>588000</v>
      </c>
    </row>
    <row r="8" spans="2:7" outlineLevel="1" x14ac:dyDescent="0.25">
      <c r="B8" s="28"/>
      <c r="C8" s="28" t="s">
        <v>63</v>
      </c>
      <c r="D8" s="34">
        <v>560000</v>
      </c>
      <c r="E8" s="35">
        <v>560000</v>
      </c>
      <c r="F8" s="35">
        <v>280000</v>
      </c>
      <c r="G8" s="35">
        <v>784000</v>
      </c>
    </row>
    <row r="9" spans="2:7" outlineLevel="1" x14ac:dyDescent="0.25">
      <c r="B9" s="28"/>
      <c r="C9" s="28" t="s">
        <v>64</v>
      </c>
      <c r="D9" s="34">
        <v>700000</v>
      </c>
      <c r="E9" s="35">
        <v>700000</v>
      </c>
      <c r="F9" s="35">
        <v>350000</v>
      </c>
      <c r="G9" s="35">
        <v>980000</v>
      </c>
    </row>
    <row r="10" spans="2:7" outlineLevel="1" x14ac:dyDescent="0.25">
      <c r="B10" s="28"/>
      <c r="C10" s="28" t="s">
        <v>65</v>
      </c>
      <c r="D10" s="34">
        <v>840000</v>
      </c>
      <c r="E10" s="35">
        <v>840000</v>
      </c>
      <c r="F10" s="35">
        <v>420000</v>
      </c>
      <c r="G10" s="35">
        <v>1176000</v>
      </c>
    </row>
    <row r="11" spans="2:7" outlineLevel="1" x14ac:dyDescent="0.25">
      <c r="B11" s="28"/>
      <c r="C11" s="28" t="s">
        <v>66</v>
      </c>
      <c r="D11" s="34">
        <v>40000</v>
      </c>
      <c r="E11" s="35">
        <v>40000</v>
      </c>
      <c r="F11" s="35">
        <v>20000</v>
      </c>
      <c r="G11" s="35">
        <v>56000</v>
      </c>
    </row>
    <row r="12" spans="2:7" outlineLevel="1" x14ac:dyDescent="0.25">
      <c r="B12" s="28"/>
      <c r="C12" s="28" t="s">
        <v>67</v>
      </c>
      <c r="D12" s="34">
        <v>50000</v>
      </c>
      <c r="E12" s="35">
        <v>50000</v>
      </c>
      <c r="F12" s="35">
        <v>25000</v>
      </c>
      <c r="G12" s="35">
        <v>70000</v>
      </c>
    </row>
    <row r="13" spans="2:7" outlineLevel="1" x14ac:dyDescent="0.25">
      <c r="B13" s="28"/>
      <c r="C13" s="28" t="s">
        <v>68</v>
      </c>
      <c r="D13" s="34">
        <v>60000</v>
      </c>
      <c r="E13" s="35">
        <v>60000</v>
      </c>
      <c r="F13" s="35">
        <v>30000</v>
      </c>
      <c r="G13" s="35">
        <v>84000</v>
      </c>
    </row>
    <row r="14" spans="2:7" outlineLevel="1" x14ac:dyDescent="0.25">
      <c r="B14" s="28"/>
      <c r="C14" s="28" t="s">
        <v>69</v>
      </c>
      <c r="D14" s="34">
        <v>70000</v>
      </c>
      <c r="E14" s="35">
        <v>70000</v>
      </c>
      <c r="F14" s="35">
        <v>35000</v>
      </c>
      <c r="G14" s="35">
        <v>98000</v>
      </c>
    </row>
    <row r="15" spans="2:7" outlineLevel="1" x14ac:dyDescent="0.25">
      <c r="B15" s="28"/>
      <c r="C15" s="28" t="s">
        <v>70</v>
      </c>
      <c r="D15" s="34">
        <v>80000</v>
      </c>
      <c r="E15" s="35">
        <v>80000</v>
      </c>
      <c r="F15" s="35">
        <v>40000</v>
      </c>
      <c r="G15" s="35">
        <v>112000</v>
      </c>
    </row>
    <row r="16" spans="2:7" outlineLevel="1" x14ac:dyDescent="0.25">
      <c r="B16" s="28"/>
      <c r="C16" s="28" t="s">
        <v>71</v>
      </c>
      <c r="D16" s="34">
        <v>174000</v>
      </c>
      <c r="E16" s="35">
        <v>174000</v>
      </c>
      <c r="F16" s="35">
        <v>208800</v>
      </c>
      <c r="G16" s="35">
        <v>165300</v>
      </c>
    </row>
    <row r="17" spans="2:7" outlineLevel="1" x14ac:dyDescent="0.25">
      <c r="B17" s="28"/>
      <c r="C17" s="28" t="s">
        <v>72</v>
      </c>
      <c r="D17" s="34">
        <v>138000</v>
      </c>
      <c r="E17" s="35">
        <v>138000</v>
      </c>
      <c r="F17" s="35">
        <v>165600</v>
      </c>
      <c r="G17" s="35">
        <v>131100</v>
      </c>
    </row>
    <row r="18" spans="2:7" outlineLevel="1" x14ac:dyDescent="0.25">
      <c r="B18" s="28"/>
      <c r="C18" s="28" t="s">
        <v>73</v>
      </c>
      <c r="D18" s="34">
        <v>138000</v>
      </c>
      <c r="E18" s="35">
        <v>138000</v>
      </c>
      <c r="F18" s="35">
        <v>165600</v>
      </c>
      <c r="G18" s="35">
        <v>131100</v>
      </c>
    </row>
    <row r="19" spans="2:7" outlineLevel="1" x14ac:dyDescent="0.25">
      <c r="B19" s="28"/>
      <c r="C19" s="28" t="s">
        <v>74</v>
      </c>
      <c r="D19" s="34">
        <v>138000</v>
      </c>
      <c r="E19" s="35">
        <v>138000</v>
      </c>
      <c r="F19" s="35">
        <v>165600</v>
      </c>
      <c r="G19" s="35">
        <v>131100</v>
      </c>
    </row>
    <row r="20" spans="2:7" outlineLevel="1" x14ac:dyDescent="0.25">
      <c r="B20" s="28"/>
      <c r="C20" s="28" t="s">
        <v>75</v>
      </c>
      <c r="D20" s="34">
        <v>138000</v>
      </c>
      <c r="E20" s="35">
        <v>138000</v>
      </c>
      <c r="F20" s="35">
        <v>165600</v>
      </c>
      <c r="G20" s="35">
        <v>131100</v>
      </c>
    </row>
    <row r="21" spans="2:7" outlineLevel="1" x14ac:dyDescent="0.25">
      <c r="B21" s="28"/>
      <c r="C21" s="28" t="s">
        <v>76</v>
      </c>
      <c r="D21" s="34">
        <v>0.1</v>
      </c>
      <c r="E21" s="35">
        <v>0.1</v>
      </c>
      <c r="F21" s="35">
        <v>0.11</v>
      </c>
      <c r="G21" s="35">
        <v>0.09</v>
      </c>
    </row>
    <row r="22" spans="2:7" outlineLevel="1" x14ac:dyDescent="0.25">
      <c r="B22" s="28"/>
      <c r="C22" s="28" t="s">
        <v>77</v>
      </c>
      <c r="D22" s="34">
        <v>0.1</v>
      </c>
      <c r="E22" s="35">
        <v>0.1</v>
      </c>
      <c r="F22" s="35">
        <v>0.11</v>
      </c>
      <c r="G22" s="35">
        <v>0.09</v>
      </c>
    </row>
    <row r="23" spans="2:7" outlineLevel="1" x14ac:dyDescent="0.25">
      <c r="B23" s="28"/>
      <c r="C23" s="28" t="s">
        <v>78</v>
      </c>
      <c r="D23" s="34">
        <v>0.1</v>
      </c>
      <c r="E23" s="35">
        <v>0.1</v>
      </c>
      <c r="F23" s="35">
        <v>0.11</v>
      </c>
      <c r="G23" s="35">
        <v>0.09</v>
      </c>
    </row>
    <row r="24" spans="2:7" outlineLevel="1" x14ac:dyDescent="0.25">
      <c r="B24" s="28"/>
      <c r="C24" s="28" t="s">
        <v>79</v>
      </c>
      <c r="D24" s="34">
        <v>0.1</v>
      </c>
      <c r="E24" s="35">
        <v>0.1</v>
      </c>
      <c r="F24" s="35">
        <v>0.11</v>
      </c>
      <c r="G24" s="35">
        <v>0.09</v>
      </c>
    </row>
    <row r="25" spans="2:7" outlineLevel="1" x14ac:dyDescent="0.25">
      <c r="B25" s="28"/>
      <c r="C25" s="28" t="s">
        <v>80</v>
      </c>
      <c r="D25" s="34">
        <v>0.1</v>
      </c>
      <c r="E25" s="35">
        <v>0.1</v>
      </c>
      <c r="F25" s="35">
        <v>0.11</v>
      </c>
      <c r="G25" s="35">
        <v>0.09</v>
      </c>
    </row>
    <row r="26" spans="2:7" x14ac:dyDescent="0.25">
      <c r="B26" s="29" t="s">
        <v>89</v>
      </c>
      <c r="C26" s="29"/>
      <c r="D26" s="36"/>
      <c r="E26" s="36"/>
      <c r="F26" s="36"/>
      <c r="G26" s="36"/>
    </row>
    <row r="27" spans="2:7" outlineLevel="1" x14ac:dyDescent="0.25">
      <c r="B27" s="28"/>
      <c r="C27" s="28" t="s">
        <v>81</v>
      </c>
      <c r="D27" s="34">
        <v>-167509.090909091</v>
      </c>
      <c r="E27" s="34">
        <v>-167509.090909091</v>
      </c>
      <c r="F27" s="34">
        <v>-255333.33333333299</v>
      </c>
      <c r="G27" s="34">
        <v>-108192.660550459</v>
      </c>
    </row>
    <row r="28" spans="2:7" outlineLevel="1" x14ac:dyDescent="0.25">
      <c r="B28" s="28"/>
      <c r="C28" s="28" t="s">
        <v>82</v>
      </c>
      <c r="D28" s="34">
        <v>-48880.991735537202</v>
      </c>
      <c r="E28" s="34">
        <v>-48880.991735537202</v>
      </c>
      <c r="F28" s="34">
        <v>-241296.323350377</v>
      </c>
      <c r="G28" s="34">
        <v>88684.706674522298</v>
      </c>
    </row>
    <row r="29" spans="2:7" outlineLevel="1" x14ac:dyDescent="0.25">
      <c r="B29" s="28"/>
      <c r="C29" s="28" t="s">
        <v>83</v>
      </c>
      <c r="D29" s="34">
        <v>111554.77084898599</v>
      </c>
      <c r="E29" s="34">
        <v>111554.77084898599</v>
      </c>
      <c r="F29" s="34">
        <v>-202418.87760660599</v>
      </c>
      <c r="G29" s="34">
        <v>344439.59710554703</v>
      </c>
    </row>
    <row r="30" spans="2:7" outlineLevel="1" x14ac:dyDescent="0.25">
      <c r="B30" s="28"/>
      <c r="C30" s="28" t="s">
        <v>84</v>
      </c>
      <c r="D30" s="34">
        <v>304021.13243630901</v>
      </c>
      <c r="E30" s="34">
        <v>304021.13243630901</v>
      </c>
      <c r="F30" s="34">
        <v>-144914.95721861799</v>
      </c>
      <c r="G30" s="34">
        <v>646767.14017973095</v>
      </c>
    </row>
    <row r="31" spans="2:7" ht="16.5" outlineLevel="1" thickBot="1" x14ac:dyDescent="0.3">
      <c r="B31" s="30"/>
      <c r="C31" s="30" t="s">
        <v>85</v>
      </c>
      <c r="D31" s="37">
        <v>521368.43235993502</v>
      </c>
      <c r="E31" s="37">
        <v>521368.43235993502</v>
      </c>
      <c r="F31" s="37">
        <v>-72858.0969657479</v>
      </c>
      <c r="G31" s="37">
        <v>986232.80255721905</v>
      </c>
    </row>
    <row r="32" spans="2:7" x14ac:dyDescent="0.25">
      <c r="B32" t="s">
        <v>90</v>
      </c>
    </row>
    <row r="33" spans="2:2" x14ac:dyDescent="0.25">
      <c r="B33" t="s">
        <v>91</v>
      </c>
    </row>
    <row r="34" spans="2:2" x14ac:dyDescent="0.25">
      <c r="B34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25</vt:i4>
      </vt:variant>
    </vt:vector>
  </HeadingPairs>
  <TitlesOfParts>
    <vt:vector size="29" baseType="lpstr">
      <vt:lpstr>Hoja2</vt:lpstr>
      <vt:lpstr>Caso pesimista</vt:lpstr>
      <vt:lpstr>SCNARIO ANALYSIS</vt:lpstr>
      <vt:lpstr>Scenario Summary</vt:lpstr>
      <vt:lpstr>BI_COSTS_Y1</vt:lpstr>
      <vt:lpstr>BI_COSTS_Y2</vt:lpstr>
      <vt:lpstr>BI_COSTS_Y3</vt:lpstr>
      <vt:lpstr>BI_COSTS_Y4</vt:lpstr>
      <vt:lpstr>BI_COSTS_Y5</vt:lpstr>
      <vt:lpstr>CAP_COST_Y1</vt:lpstr>
      <vt:lpstr>CAP_COST_Y2</vt:lpstr>
      <vt:lpstr>CAP_COST_Y3</vt:lpstr>
      <vt:lpstr>CAP_COST_Y4</vt:lpstr>
      <vt:lpstr>CAP_COST_Y5</vt:lpstr>
      <vt:lpstr>EXTRA_SALES_Y1</vt:lpstr>
      <vt:lpstr>EXTRA_SALES_Y2</vt:lpstr>
      <vt:lpstr>EXTRA_SALES_Y3</vt:lpstr>
      <vt:lpstr>EXTRA_SALES_Y4</vt:lpstr>
      <vt:lpstr>EXTRA_SALES_Y5</vt:lpstr>
      <vt:lpstr>MAIN_SALES_Y1</vt:lpstr>
      <vt:lpstr>MAIN_SALES_Y2</vt:lpstr>
      <vt:lpstr>MAIN_SALES_Y3</vt:lpstr>
      <vt:lpstr>MAIN_SALES_Y4</vt:lpstr>
      <vt:lpstr>MAIN_SALES_Y5</vt:lpstr>
      <vt:lpstr>NPV_Y1</vt:lpstr>
      <vt:lpstr>NPV_Y2</vt:lpstr>
      <vt:lpstr>NPV_Y3</vt:lpstr>
      <vt:lpstr>NPV_Y4</vt:lpstr>
      <vt:lpstr>NPV_Y5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2014-10-01T19:15:33Z</dcterms:created>
  <dcterms:modified xsi:type="dcterms:W3CDTF">2016-10-22T12:12:14Z</dcterms:modified>
</cp:coreProperties>
</file>